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enovo\Dropbox (HÉTFA)\NPI (1)\06_PROJECTS\RESTART\03_Project results\PR3\Training materials\HETFA-Business models\"/>
    </mc:Choice>
  </mc:AlternateContent>
  <xr:revisionPtr revIDLastSave="0" documentId="13_ncr:1_{D56DBF23-C511-44C5-9EFC-C3D6E612E7B7}" xr6:coauthVersionLast="47" xr6:coauthVersionMax="47" xr10:uidLastSave="{00000000-0000-0000-0000-000000000000}"/>
  <bookViews>
    <workbookView xWindow="-108" yWindow="-108" windowWidth="23256" windowHeight="12576" activeTab="2" xr2:uid="{7C1F460B-5D06-4C04-B6D1-F427A0EDC1BC}"/>
  </bookViews>
  <sheets>
    <sheet name="Draft exp &amp; rev plan " sheetId="1" r:id="rId1"/>
    <sheet name="Cash_flow plan " sheetId="3" r:id="rId2"/>
    <sheet name="Capital finance plan "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 l="1"/>
  <c r="C6" i="3"/>
  <c r="D6" i="3"/>
  <c r="E6" i="3"/>
  <c r="F6" i="3"/>
  <c r="G6" i="3"/>
  <c r="B6" i="3"/>
  <c r="G32" i="1"/>
  <c r="F32" i="1"/>
  <c r="E32" i="1"/>
  <c r="E34" i="1"/>
  <c r="G31" i="1"/>
  <c r="F31" i="1"/>
  <c r="E31" i="1"/>
  <c r="F5" i="3"/>
  <c r="C28" i="1"/>
  <c r="G28" i="1"/>
  <c r="G27" i="1"/>
  <c r="G29" i="1"/>
  <c r="D5" i="3"/>
  <c r="E5" i="3" s="1"/>
  <c r="C26" i="1"/>
  <c r="F26" i="1"/>
  <c r="F25" i="1"/>
  <c r="C5" i="3"/>
  <c r="C7" i="3" s="1"/>
  <c r="G4" i="3"/>
  <c r="F4" i="3"/>
  <c r="E4" i="3"/>
  <c r="D4" i="3"/>
  <c r="B4" i="3"/>
  <c r="G3" i="3"/>
  <c r="F3" i="3"/>
  <c r="E3" i="3"/>
  <c r="D3" i="3"/>
  <c r="C3" i="3"/>
  <c r="B3" i="3"/>
  <c r="G2" i="3"/>
  <c r="F2" i="3"/>
  <c r="E2" i="3"/>
  <c r="E7" i="3" s="1"/>
  <c r="D2" i="3"/>
  <c r="D7" i="3" s="1"/>
  <c r="C2" i="3"/>
  <c r="B2" i="3"/>
  <c r="B7" i="3" s="1"/>
  <c r="F29" i="1"/>
  <c r="F18" i="1"/>
  <c r="E29" i="1"/>
  <c r="C27" i="1"/>
  <c r="C25" i="1"/>
  <c r="C24" i="1"/>
  <c r="E24" i="1" s="1"/>
  <c r="C15" i="1"/>
  <c r="C14" i="1"/>
  <c r="C13" i="1"/>
  <c r="C12" i="1"/>
  <c r="C11" i="1"/>
  <c r="C10" i="1"/>
  <c r="E10" i="1" s="1"/>
  <c r="F14" i="1"/>
  <c r="F11" i="1"/>
  <c r="E23" i="1"/>
  <c r="G19" i="1"/>
  <c r="G9" i="1"/>
  <c r="F9" i="1"/>
  <c r="E17" i="1"/>
  <c r="E16" i="1"/>
  <c r="E9" i="1"/>
  <c r="G15" i="1"/>
  <c r="E13" i="1"/>
  <c r="G12" i="1"/>
  <c r="F7" i="3" l="1"/>
  <c r="G5" i="3"/>
  <c r="G7" i="3" s="1"/>
  <c r="F20" i="1"/>
  <c r="E20" i="1"/>
  <c r="G20" i="1"/>
  <c r="F34" i="1" l="1"/>
  <c r="C8" i="2" s="1"/>
  <c r="B8" i="2"/>
  <c r="G34" i="1"/>
  <c r="D8" i="2" s="1"/>
  <c r="C9" i="2" l="1"/>
  <c r="D9" i="2" s="1"/>
  <c r="B9" i="2"/>
</calcChain>
</file>

<file path=xl/sharedStrings.xml><?xml version="1.0" encoding="utf-8"?>
<sst xmlns="http://schemas.openxmlformats.org/spreadsheetml/2006/main" count="90" uniqueCount="70">
  <si>
    <t xml:space="preserve">Starting point/expectations: </t>
  </si>
  <si>
    <t>Unit</t>
  </si>
  <si>
    <t xml:space="preserve">Unit nr. </t>
  </si>
  <si>
    <t>Expenses 1st year</t>
  </si>
  <si>
    <t>Expenses 2nd year</t>
  </si>
  <si>
    <t>Expenses 3rd year</t>
  </si>
  <si>
    <t>month</t>
  </si>
  <si>
    <t>piece</t>
  </si>
  <si>
    <t>Unit cost (EUR)</t>
  </si>
  <si>
    <t xml:space="preserve">App development (R&amp;I) </t>
  </si>
  <si>
    <t>Marketing 1st y</t>
  </si>
  <si>
    <t>Marketing 2nd y</t>
  </si>
  <si>
    <t>Marketing 3rd y</t>
  </si>
  <si>
    <t>Device transport costs under 500 pieces (1st y)</t>
  </si>
  <si>
    <t>Device transport costs over  500 pieces (2nd y)</t>
  </si>
  <si>
    <t>Device transport costs over 500 pieces (3rd y)</t>
  </si>
  <si>
    <t>Device production cost 1st y</t>
  </si>
  <si>
    <t>Device production cost 2nd y</t>
  </si>
  <si>
    <t>Device production cost 3rd y</t>
  </si>
  <si>
    <t xml:space="preserve">Expected sales </t>
  </si>
  <si>
    <t>device</t>
  </si>
  <si>
    <t>app usage monthly fee (counted per semesters fully used)</t>
  </si>
  <si>
    <t>Sales 1st year</t>
  </si>
  <si>
    <t>Sales 2nd year</t>
  </si>
  <si>
    <t>Sales 3rd year</t>
  </si>
  <si>
    <t xml:space="preserve">VAT on sales (other VAT not deductible) </t>
  </si>
  <si>
    <t>NET REVENUE (AFTER TAXES)</t>
  </si>
  <si>
    <t xml:space="preserve">NET REVENUES - EXPENSES: </t>
  </si>
  <si>
    <t>As it can be seen the 1st year is shockingly not rentable - the app development itself representing a huge investment and sales are not yet widely coming in. At the end of the 1st year, our startup has a -120 thousand EUR</t>
  </si>
  <si>
    <t>As sales are slowly start to grow, at the end of the second year we still close with a loss of EUR 3000 but that is closer to a break-even point.</t>
  </si>
  <si>
    <t xml:space="preserve">At the end of the third year though, as all the marketing and sales have yielded their results, sales climb up and the year itself closes with a + 333000 EUR. </t>
  </si>
  <si>
    <t xml:space="preserve">Based on the Draft expenditures and revenues plan, we can see that the first year is fully financed by the owners/from credit, not at all from revenues. </t>
  </si>
  <si>
    <t xml:space="preserve">The second year is financed still mostly from capital/credit but towards the end of the period (in the second semester of year 2) revenues start to come in. </t>
  </si>
  <si>
    <t xml:space="preserve">The third year is standing on its feet , also covering losses from previous periods. </t>
  </si>
  <si>
    <t xml:space="preserve">Further info on expenses/revenues plans: </t>
  </si>
  <si>
    <t>https://bench.co/blog/accounting/business-budget/#mvav3</t>
  </si>
  <si>
    <t>https://corporatefinanceinstitute.com/resources/financial-modeling/financial-forecasting-guide/</t>
  </si>
  <si>
    <t>1st year</t>
  </si>
  <si>
    <t>2nd year</t>
  </si>
  <si>
    <t>3rd year</t>
  </si>
  <si>
    <t xml:space="preserve">This translates as such: </t>
  </si>
  <si>
    <t xml:space="preserve">Cash-flow plan </t>
  </si>
  <si>
    <t>1st semester</t>
  </si>
  <si>
    <t>2nd semester</t>
  </si>
  <si>
    <t>3rd semester</t>
  </si>
  <si>
    <t>4th semester</t>
  </si>
  <si>
    <t>5th semester</t>
  </si>
  <si>
    <t>6th semester</t>
  </si>
  <si>
    <t xml:space="preserve">Monthly fix costs: </t>
  </si>
  <si>
    <t>fix costs</t>
  </si>
  <si>
    <t>variable costs</t>
  </si>
  <si>
    <t xml:space="preserve">Expenses/Revenues plan for the first year taken into account the following baseline numbers: monthly fix costs of office, staff and communication is EUR 8000, variable costs: the production of the device (manufactured in China) costs EUR 9 per piece, transport costs EUR 1 per piece up till 500 pieces, EUR 0.5 above, development of the app costs EUR 30000 in the first semester, marketing costs are monthly EUR 250 in the first year, monthly EUR 400 in the second year, monthly EUR 700 in the third year. Selling price of the equipment is EUR 35 with VAT,  and app registration followed by monthly subscription costs EUR 12 per month.  VAT is 15%. By the end of the first semester we expect to get 50 customers, then additional 200 till the end of the first year, then 600 by the end of the third semester, additional 900 by the end of the fourth semester, in addition 2000 by the end of the fifth semester and additional 3000 by the end of the sixth. </t>
  </si>
  <si>
    <t>device sales</t>
  </si>
  <si>
    <t>app subscription fees</t>
  </si>
  <si>
    <t xml:space="preserve">VAT on device and app subscription </t>
  </si>
  <si>
    <t>CASH FLOW PER SEMESTER</t>
  </si>
  <si>
    <t xml:space="preserve">For the first two years, you have to have a financement of EUR 125 000 (and a large chunk of that, almost 80 000 already at the beginning, in the first semester as seen from the cash flow table) </t>
  </si>
  <si>
    <t xml:space="preserve">Finance plan </t>
  </si>
  <si>
    <t>A. You personally have a savings of EUR 50000 willing to put into this</t>
  </si>
  <si>
    <t xml:space="preserve">B2. You convince an investor - a business angel - to give you the missing 75000 EUR for a share in your company </t>
  </si>
  <si>
    <t>B1. You convince other friends and family members to invest the missing 75 000 EUR and become co-owners</t>
  </si>
  <si>
    <t>https://bizfluent.com/facts-7339192-private-capital-.html</t>
  </si>
  <si>
    <t xml:space="preserve">Further info on capital  financing: </t>
  </si>
  <si>
    <t>Strategy Nr. 1 - EQUITY FINANCING</t>
  </si>
  <si>
    <t xml:space="preserve">C. After the third year, you may get involved with venture capital for scaling up your growth. </t>
  </si>
  <si>
    <t>Strategy Nr 2. - DEBT&amp;SWEAT FINANCING</t>
  </si>
  <si>
    <t>B1. You convince other friends and family members to lend you the missing 75 000 EUR  (as banks will not lend you money due to the lack of established sales records)</t>
  </si>
  <si>
    <t>C. At the end of the second year, you try to survive month-by-month and pay all expenses fro mthe revenues.During the 6th semester, you  repay your friends and family, who leave your company</t>
  </si>
  <si>
    <t>Expected expenses</t>
  </si>
  <si>
    <t xml:space="preserve">Cumulative amounts to be pre-financed: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</si>
</sst>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8"/>
      <name val="Calibri"/>
      <family val="2"/>
      <scheme val="minor"/>
    </font>
  </fonts>
  <fills count="3">
    <fill>
      <patternFill patternType="none"/>
    </fill>
    <fill>
      <patternFill patternType="gray125"/>
    </fill>
    <fill>
      <patternFill patternType="solid">
        <fgColor theme="9"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0" borderId="0" xfId="0" applyFont="1"/>
    <xf numFmtId="0" fontId="0" fillId="0" borderId="1" xfId="0" applyBorder="1"/>
    <xf numFmtId="0" fontId="2" fillId="0" borderId="1" xfId="0" applyFont="1" applyBorder="1"/>
    <xf numFmtId="0" fontId="0" fillId="0" borderId="0" xfId="0" quotePrefix="1" applyAlignment="1">
      <alignment horizontal="center"/>
    </xf>
    <xf numFmtId="0" fontId="3" fillId="0" borderId="0" xfId="1"/>
    <xf numFmtId="0" fontId="1" fillId="2" borderId="0" xfId="0" applyFont="1" applyFill="1"/>
    <xf numFmtId="0" fontId="0" fillId="0" borderId="0" xfId="0" applyAlignment="1">
      <alignment horizontal="left" wrapText="1"/>
    </xf>
    <xf numFmtId="0" fontId="1" fillId="2" borderId="0" xfId="0" quotePrefix="1" applyFont="1" applyFill="1" applyAlignment="1">
      <alignment horizont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rporatefinanceinstitute.com/resources/financial-modeling/financial-forecasting-guide/" TargetMode="External"/><Relationship Id="rId1" Type="http://schemas.openxmlformats.org/officeDocument/2006/relationships/hyperlink" Target="https://bench.co/blog/accounting/business-budge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bizfluent.com/facts-7339192-private-capit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B549-531D-4D24-8EEC-B9F8F4F4B0E1}">
  <dimension ref="A1:I44"/>
  <sheetViews>
    <sheetView workbookViewId="0">
      <selection activeCell="A9" sqref="A9"/>
    </sheetView>
  </sheetViews>
  <sheetFormatPr defaultRowHeight="14.4" x14ac:dyDescent="0.3"/>
  <cols>
    <col min="1" max="1" width="53" customWidth="1"/>
    <col min="2" max="2" width="10.5546875" customWidth="1"/>
    <col min="3" max="3" width="10.109375" customWidth="1"/>
    <col min="4" max="4" width="18.77734375" customWidth="1"/>
    <col min="5" max="5" width="17.33203125" customWidth="1"/>
    <col min="6" max="6" width="19.44140625" customWidth="1"/>
    <col min="7" max="7" width="23.33203125" customWidth="1"/>
    <col min="8" max="8" width="22.21875" customWidth="1"/>
  </cols>
  <sheetData>
    <row r="1" spans="1:9" x14ac:dyDescent="0.3">
      <c r="A1" s="6" t="s">
        <v>0</v>
      </c>
    </row>
    <row r="2" spans="1:9" x14ac:dyDescent="0.3">
      <c r="A2" s="7" t="s">
        <v>51</v>
      </c>
      <c r="B2" s="7"/>
      <c r="C2" s="7"/>
      <c r="D2" s="7"/>
      <c r="E2" s="7"/>
      <c r="F2" s="7"/>
      <c r="G2" s="7"/>
      <c r="H2" s="7"/>
      <c r="I2" s="7"/>
    </row>
    <row r="3" spans="1:9" x14ac:dyDescent="0.3">
      <c r="A3" s="7"/>
      <c r="B3" s="7"/>
      <c r="C3" s="7"/>
      <c r="D3" s="7"/>
      <c r="E3" s="7"/>
      <c r="F3" s="7"/>
      <c r="G3" s="7"/>
      <c r="H3" s="7"/>
      <c r="I3" s="7"/>
    </row>
    <row r="4" spans="1:9" x14ac:dyDescent="0.3">
      <c r="A4" s="7"/>
      <c r="B4" s="7"/>
      <c r="C4" s="7"/>
      <c r="D4" s="7"/>
      <c r="E4" s="7"/>
      <c r="F4" s="7"/>
      <c r="G4" s="7"/>
      <c r="H4" s="7"/>
      <c r="I4" s="7"/>
    </row>
    <row r="5" spans="1:9" x14ac:dyDescent="0.3">
      <c r="A5" s="7"/>
      <c r="B5" s="7"/>
      <c r="C5" s="7"/>
      <c r="D5" s="7"/>
      <c r="E5" s="7"/>
      <c r="F5" s="7"/>
      <c r="G5" s="7"/>
      <c r="H5" s="7"/>
      <c r="I5" s="7"/>
    </row>
    <row r="6" spans="1:9" x14ac:dyDescent="0.3">
      <c r="A6" s="7"/>
      <c r="B6" s="7"/>
      <c r="C6" s="7"/>
      <c r="D6" s="7"/>
      <c r="E6" s="7"/>
      <c r="F6" s="7"/>
      <c r="G6" s="7"/>
      <c r="H6" s="7"/>
      <c r="I6" s="7"/>
    </row>
    <row r="8" spans="1:9" x14ac:dyDescent="0.3">
      <c r="A8" s="2" t="s">
        <v>68</v>
      </c>
      <c r="B8" s="2" t="s">
        <v>1</v>
      </c>
      <c r="C8" s="2" t="s">
        <v>2</v>
      </c>
      <c r="D8" s="2" t="s">
        <v>8</v>
      </c>
      <c r="E8" s="2" t="s">
        <v>3</v>
      </c>
      <c r="F8" s="2" t="s">
        <v>4</v>
      </c>
      <c r="G8" s="2" t="s">
        <v>5</v>
      </c>
    </row>
    <row r="9" spans="1:9" x14ac:dyDescent="0.3">
      <c r="A9" s="2" t="s">
        <v>48</v>
      </c>
      <c r="B9" s="2" t="s">
        <v>6</v>
      </c>
      <c r="C9" s="2">
        <v>12</v>
      </c>
      <c r="D9" s="2">
        <v>8000</v>
      </c>
      <c r="E9" s="2">
        <f>C9*D9</f>
        <v>96000</v>
      </c>
      <c r="F9" s="2">
        <f>C9*D9</f>
        <v>96000</v>
      </c>
      <c r="G9" s="2">
        <f>C9*D9</f>
        <v>96000</v>
      </c>
    </row>
    <row r="10" spans="1:9" x14ac:dyDescent="0.3">
      <c r="A10" s="2" t="s">
        <v>16</v>
      </c>
      <c r="B10" s="2" t="s">
        <v>7</v>
      </c>
      <c r="C10" s="2">
        <f>50+200</f>
        <v>250</v>
      </c>
      <c r="D10" s="2">
        <v>9</v>
      </c>
      <c r="E10" s="2">
        <f>C10*D10</f>
        <v>2250</v>
      </c>
      <c r="F10" s="2"/>
      <c r="G10" s="2"/>
    </row>
    <row r="11" spans="1:9" x14ac:dyDescent="0.3">
      <c r="A11" s="2" t="s">
        <v>17</v>
      </c>
      <c r="B11" s="2"/>
      <c r="C11" s="2">
        <f>600+900</f>
        <v>1500</v>
      </c>
      <c r="D11" s="2">
        <v>9</v>
      </c>
      <c r="E11" s="2"/>
      <c r="F11" s="2">
        <f>C11*D11</f>
        <v>13500</v>
      </c>
      <c r="G11" s="2"/>
    </row>
    <row r="12" spans="1:9" x14ac:dyDescent="0.3">
      <c r="A12" s="2" t="s">
        <v>18</v>
      </c>
      <c r="B12" s="2"/>
      <c r="C12" s="2">
        <f>2000+3000</f>
        <v>5000</v>
      </c>
      <c r="D12" s="2">
        <v>9</v>
      </c>
      <c r="E12" s="2"/>
      <c r="F12" s="2"/>
      <c r="G12" s="2">
        <f>C12*D12</f>
        <v>45000</v>
      </c>
    </row>
    <row r="13" spans="1:9" x14ac:dyDescent="0.3">
      <c r="A13" s="2" t="s">
        <v>13</v>
      </c>
      <c r="B13" s="2" t="s">
        <v>7</v>
      </c>
      <c r="C13" s="2">
        <f>50+200</f>
        <v>250</v>
      </c>
      <c r="D13" s="2">
        <v>1</v>
      </c>
      <c r="E13" s="2">
        <f>C13*D13</f>
        <v>250</v>
      </c>
      <c r="F13" s="2"/>
      <c r="G13" s="2"/>
    </row>
    <row r="14" spans="1:9" x14ac:dyDescent="0.3">
      <c r="A14" s="2" t="s">
        <v>14</v>
      </c>
      <c r="B14" s="2"/>
      <c r="C14" s="2">
        <f>600+900</f>
        <v>1500</v>
      </c>
      <c r="D14" s="2">
        <v>0.5</v>
      </c>
      <c r="E14" s="2"/>
      <c r="F14" s="2">
        <f>C14*D14</f>
        <v>750</v>
      </c>
      <c r="G14" s="2"/>
    </row>
    <row r="15" spans="1:9" x14ac:dyDescent="0.3">
      <c r="A15" s="2" t="s">
        <v>15</v>
      </c>
      <c r="B15" s="2"/>
      <c r="C15" s="2">
        <f>2000+3000</f>
        <v>5000</v>
      </c>
      <c r="D15" s="2">
        <v>0.5</v>
      </c>
      <c r="E15" s="2"/>
      <c r="F15" s="2"/>
      <c r="G15" s="2">
        <f>C15*D15</f>
        <v>2500</v>
      </c>
    </row>
    <row r="16" spans="1:9" x14ac:dyDescent="0.3">
      <c r="A16" s="2" t="s">
        <v>9</v>
      </c>
      <c r="B16" s="2" t="s">
        <v>7</v>
      </c>
      <c r="C16" s="2">
        <v>1</v>
      </c>
      <c r="D16" s="2">
        <v>30000</v>
      </c>
      <c r="E16" s="2">
        <f>C16*D16</f>
        <v>30000</v>
      </c>
      <c r="F16" s="2"/>
      <c r="G16" s="2"/>
    </row>
    <row r="17" spans="1:7" x14ac:dyDescent="0.3">
      <c r="A17" s="2" t="s">
        <v>10</v>
      </c>
      <c r="B17" s="2" t="s">
        <v>6</v>
      </c>
      <c r="C17" s="2">
        <v>12</v>
      </c>
      <c r="D17" s="2">
        <v>250</v>
      </c>
      <c r="E17" s="2">
        <f>C17*D17</f>
        <v>3000</v>
      </c>
      <c r="F17" s="2"/>
      <c r="G17" s="2"/>
    </row>
    <row r="18" spans="1:7" x14ac:dyDescent="0.3">
      <c r="A18" s="2" t="s">
        <v>11</v>
      </c>
      <c r="B18" s="2" t="s">
        <v>6</v>
      </c>
      <c r="C18" s="2">
        <v>12</v>
      </c>
      <c r="D18" s="2">
        <v>400</v>
      </c>
      <c r="E18" s="2"/>
      <c r="F18" s="2">
        <f>C18*D18</f>
        <v>4800</v>
      </c>
      <c r="G18" s="2"/>
    </row>
    <row r="19" spans="1:7" x14ac:dyDescent="0.3">
      <c r="A19" s="2" t="s">
        <v>12</v>
      </c>
      <c r="B19" s="2" t="s">
        <v>6</v>
      </c>
      <c r="C19" s="2">
        <v>12</v>
      </c>
      <c r="D19" s="2">
        <v>700</v>
      </c>
      <c r="E19" s="2"/>
      <c r="F19" s="2"/>
      <c r="G19" s="2">
        <f>C19*D19</f>
        <v>8400</v>
      </c>
    </row>
    <row r="20" spans="1:7" x14ac:dyDescent="0.3">
      <c r="E20" s="1">
        <f>SUM(E9:E19)</f>
        <v>131500</v>
      </c>
      <c r="F20" s="1">
        <f>SUM(F9:F19)</f>
        <v>115050</v>
      </c>
      <c r="G20" s="1">
        <f>SUM(G9:G19)</f>
        <v>151900</v>
      </c>
    </row>
    <row r="22" spans="1:7" x14ac:dyDescent="0.3">
      <c r="A22" s="2" t="s">
        <v>19</v>
      </c>
      <c r="B22" s="2" t="s">
        <v>1</v>
      </c>
      <c r="C22" s="2" t="s">
        <v>2</v>
      </c>
      <c r="D22" s="2" t="s">
        <v>8</v>
      </c>
      <c r="E22" s="2" t="s">
        <v>22</v>
      </c>
      <c r="F22" s="2" t="s">
        <v>23</v>
      </c>
      <c r="G22" s="2" t="s">
        <v>24</v>
      </c>
    </row>
    <row r="23" spans="1:7" x14ac:dyDescent="0.3">
      <c r="A23" s="2" t="s">
        <v>20</v>
      </c>
      <c r="B23" s="2" t="s">
        <v>7</v>
      </c>
      <c r="C23" s="2">
        <v>250</v>
      </c>
      <c r="D23" s="2">
        <v>35</v>
      </c>
      <c r="E23" s="2">
        <f>C23*D23</f>
        <v>8750</v>
      </c>
      <c r="F23" s="2"/>
      <c r="G23" s="2"/>
    </row>
    <row r="24" spans="1:7" x14ac:dyDescent="0.3">
      <c r="A24" s="2" t="s">
        <v>21</v>
      </c>
      <c r="B24" s="2" t="s">
        <v>6</v>
      </c>
      <c r="C24" s="2">
        <f>50*6</f>
        <v>300</v>
      </c>
      <c r="D24" s="2">
        <v>12</v>
      </c>
      <c r="E24" s="2">
        <f>C24*D24</f>
        <v>3600</v>
      </c>
      <c r="F24" s="2"/>
      <c r="G24" s="2"/>
    </row>
    <row r="25" spans="1:7" x14ac:dyDescent="0.3">
      <c r="A25" s="2" t="s">
        <v>20</v>
      </c>
      <c r="B25" s="2" t="s">
        <v>7</v>
      </c>
      <c r="C25" s="2">
        <f>600+900</f>
        <v>1500</v>
      </c>
      <c r="D25" s="2">
        <v>35</v>
      </c>
      <c r="E25" s="2"/>
      <c r="F25" s="2">
        <f>C25*D25</f>
        <v>52500</v>
      </c>
      <c r="G25" s="2"/>
    </row>
    <row r="26" spans="1:7" x14ac:dyDescent="0.3">
      <c r="A26" s="2" t="s">
        <v>21</v>
      </c>
      <c r="B26" s="2" t="s">
        <v>6</v>
      </c>
      <c r="C26" s="2">
        <f>250*12+600*6</f>
        <v>6600</v>
      </c>
      <c r="D26" s="2">
        <v>12</v>
      </c>
      <c r="E26" s="2"/>
      <c r="F26" s="2">
        <f>C26*D26</f>
        <v>79200</v>
      </c>
      <c r="G26" s="2"/>
    </row>
    <row r="27" spans="1:7" x14ac:dyDescent="0.3">
      <c r="A27" s="2" t="s">
        <v>20</v>
      </c>
      <c r="B27" s="2" t="s">
        <v>7</v>
      </c>
      <c r="C27" s="2">
        <f>2000+3000</f>
        <v>5000</v>
      </c>
      <c r="D27" s="2">
        <v>35</v>
      </c>
      <c r="E27" s="2"/>
      <c r="F27" s="2"/>
      <c r="G27" s="2">
        <f>C27*D27</f>
        <v>175000</v>
      </c>
    </row>
    <row r="28" spans="1:7" x14ac:dyDescent="0.3">
      <c r="A28" s="2" t="s">
        <v>21</v>
      </c>
      <c r="B28" s="2" t="s">
        <v>6</v>
      </c>
      <c r="C28" s="2">
        <f>250*12+1500*12+2000*6</f>
        <v>33000</v>
      </c>
      <c r="D28" s="2">
        <v>12</v>
      </c>
      <c r="E28" s="2"/>
      <c r="F28" s="2"/>
      <c r="G28" s="2">
        <f>C28*D28</f>
        <v>396000</v>
      </c>
    </row>
    <row r="29" spans="1:7" x14ac:dyDescent="0.3">
      <c r="E29" s="1">
        <f>SUM(E23:E28)</f>
        <v>12350</v>
      </c>
      <c r="F29" s="1">
        <f>SUM(F23:F28)</f>
        <v>131700</v>
      </c>
      <c r="G29" s="1">
        <f>SUM(G23:G28)</f>
        <v>571000</v>
      </c>
    </row>
    <row r="31" spans="1:7" x14ac:dyDescent="0.3">
      <c r="A31" s="2" t="s">
        <v>25</v>
      </c>
      <c r="B31" s="2"/>
      <c r="C31" s="2"/>
      <c r="D31" s="2"/>
      <c r="E31" s="2">
        <f>0.15*E29</f>
        <v>1852.5</v>
      </c>
      <c r="F31" s="2">
        <f>0.15*F29</f>
        <v>19755</v>
      </c>
      <c r="G31" s="2">
        <f>0.15*G29</f>
        <v>85650</v>
      </c>
    </row>
    <row r="32" spans="1:7" x14ac:dyDescent="0.3">
      <c r="A32" s="3" t="s">
        <v>26</v>
      </c>
      <c r="B32" s="3"/>
      <c r="C32" s="3"/>
      <c r="D32" s="3"/>
      <c r="E32" s="3">
        <f>E29-E31</f>
        <v>10497.5</v>
      </c>
      <c r="F32" s="3">
        <f>F29-F31</f>
        <v>111945</v>
      </c>
      <c r="G32" s="3">
        <f>G29-G31</f>
        <v>485350</v>
      </c>
    </row>
    <row r="34" spans="1:7" x14ac:dyDescent="0.3">
      <c r="A34" s="6" t="s">
        <v>27</v>
      </c>
      <c r="B34" s="6"/>
      <c r="C34" s="6"/>
      <c r="D34" s="6"/>
      <c r="E34" s="6">
        <f>E32-E20</f>
        <v>-121002.5</v>
      </c>
      <c r="F34" s="6">
        <f>F32-F20</f>
        <v>-3105</v>
      </c>
      <c r="G34" s="6">
        <f t="shared" ref="G34" si="0">G32-G20</f>
        <v>333450</v>
      </c>
    </row>
    <row r="37" spans="1:7" x14ac:dyDescent="0.3">
      <c r="A37" t="s">
        <v>28</v>
      </c>
    </row>
    <row r="38" spans="1:7" x14ac:dyDescent="0.3">
      <c r="A38" t="s">
        <v>29</v>
      </c>
    </row>
    <row r="39" spans="1:7" x14ac:dyDescent="0.3">
      <c r="A39" t="s">
        <v>30</v>
      </c>
    </row>
    <row r="42" spans="1:7" x14ac:dyDescent="0.3">
      <c r="A42" t="s">
        <v>34</v>
      </c>
    </row>
    <row r="43" spans="1:7" x14ac:dyDescent="0.3">
      <c r="A43" s="5" t="s">
        <v>35</v>
      </c>
    </row>
    <row r="44" spans="1:7" x14ac:dyDescent="0.3">
      <c r="A44" s="5" t="s">
        <v>36</v>
      </c>
    </row>
  </sheetData>
  <mergeCells count="1">
    <mergeCell ref="A2:I6"/>
  </mergeCells>
  <hyperlinks>
    <hyperlink ref="A43" r:id="rId1" location="mvav3" xr:uid="{0A4847AD-8261-4B3A-86AC-38649F2C39B4}"/>
    <hyperlink ref="A44" r:id="rId2" xr:uid="{B5DC8D49-7DA7-431A-B54A-9FF076033C0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84E6-5F86-4E6B-B479-A70CAD95C794}">
  <dimension ref="A1:G7"/>
  <sheetViews>
    <sheetView workbookViewId="0">
      <selection activeCell="F7" sqref="F7"/>
    </sheetView>
  </sheetViews>
  <sheetFormatPr defaultRowHeight="14.4" x14ac:dyDescent="0.3"/>
  <cols>
    <col min="1" max="1" width="63" customWidth="1"/>
    <col min="2" max="2" width="18.109375" customWidth="1"/>
    <col min="3" max="3" width="20.33203125" customWidth="1"/>
    <col min="4" max="4" width="21.109375" customWidth="1"/>
    <col min="5" max="5" width="19.109375" customWidth="1"/>
    <col min="6" max="6" width="16.5546875" customWidth="1"/>
    <col min="7" max="7" width="22.44140625" customWidth="1"/>
  </cols>
  <sheetData>
    <row r="1" spans="1:7" x14ac:dyDescent="0.3">
      <c r="A1" s="3" t="s">
        <v>41</v>
      </c>
      <c r="B1" s="3" t="s">
        <v>42</v>
      </c>
      <c r="C1" s="3" t="s">
        <v>43</v>
      </c>
      <c r="D1" s="3" t="s">
        <v>44</v>
      </c>
      <c r="E1" s="3" t="s">
        <v>45</v>
      </c>
      <c r="F1" s="3" t="s">
        <v>46</v>
      </c>
      <c r="G1" s="3" t="s">
        <v>47</v>
      </c>
    </row>
    <row r="2" spans="1:7" x14ac:dyDescent="0.3">
      <c r="A2" s="2" t="s">
        <v>49</v>
      </c>
      <c r="B2" s="2">
        <f>-'Draft exp &amp; rev plan '!$D9*6</f>
        <v>-48000</v>
      </c>
      <c r="C2" s="2">
        <f>-'Draft exp &amp; rev plan '!$D9*6</f>
        <v>-48000</v>
      </c>
      <c r="D2" s="2">
        <f>-'Draft exp &amp; rev plan '!$D9*6</f>
        <v>-48000</v>
      </c>
      <c r="E2" s="2">
        <f>-'Draft exp &amp; rev plan '!$D9*6</f>
        <v>-48000</v>
      </c>
      <c r="F2" s="2">
        <f>-'Draft exp &amp; rev plan '!$D9*6</f>
        <v>-48000</v>
      </c>
      <c r="G2" s="2">
        <f>-'Draft exp &amp; rev plan '!$D9*6</f>
        <v>-48000</v>
      </c>
    </row>
    <row r="3" spans="1:7" x14ac:dyDescent="0.3">
      <c r="A3" s="2" t="s">
        <v>50</v>
      </c>
      <c r="B3" s="2">
        <f>-(50*('Draft exp &amp; rev plan '!D10+'Draft exp &amp; rev plan '!D13)+'Draft exp &amp; rev plan '!D16+6*'Draft exp &amp; rev plan '!D17)</f>
        <v>-32000</v>
      </c>
      <c r="C3" s="2">
        <f>-(200*('Draft exp &amp; rev plan '!D10+'Draft exp &amp; rev plan '!D13)+6*'Draft exp &amp; rev plan '!D17)</f>
        <v>-3500</v>
      </c>
      <c r="D3" s="2">
        <f>-(600*('Draft exp &amp; rev plan '!D11+'Draft exp &amp; rev plan '!D14)+6*'Draft exp &amp; rev plan '!D18)</f>
        <v>-8100</v>
      </c>
      <c r="E3" s="2">
        <f>-(900*('Draft exp &amp; rev plan '!D12+'Draft exp &amp; rev plan '!D14)+6*'Draft exp &amp; rev plan '!D18)</f>
        <v>-10950</v>
      </c>
      <c r="F3" s="2">
        <f>-(2000*('Draft exp &amp; rev plan '!D12+'Draft exp &amp; rev plan '!D15)+6*'Draft exp &amp; rev plan '!D19)</f>
        <v>-23200</v>
      </c>
      <c r="G3" s="2">
        <f>-(3000*('Draft exp &amp; rev plan '!D12+'Draft exp &amp; rev plan '!D15)+6*'Draft exp &amp; rev plan '!D19)</f>
        <v>-32700</v>
      </c>
    </row>
    <row r="4" spans="1:7" x14ac:dyDescent="0.3">
      <c r="A4" s="2" t="s">
        <v>52</v>
      </c>
      <c r="B4" s="2">
        <f>50*35</f>
        <v>1750</v>
      </c>
      <c r="C4" s="2">
        <f>200*35</f>
        <v>7000</v>
      </c>
      <c r="D4" s="2">
        <f>600*35</f>
        <v>21000</v>
      </c>
      <c r="E4" s="2">
        <f>900*35</f>
        <v>31500</v>
      </c>
      <c r="F4" s="2">
        <f>2000*35</f>
        <v>70000</v>
      </c>
      <c r="G4" s="2">
        <f>3000*35</f>
        <v>105000</v>
      </c>
    </row>
    <row r="5" spans="1:7" x14ac:dyDescent="0.3">
      <c r="A5" s="2" t="s">
        <v>53</v>
      </c>
      <c r="B5" s="2">
        <v>0</v>
      </c>
      <c r="C5" s="2">
        <f>50*6*12</f>
        <v>3600</v>
      </c>
      <c r="D5" s="2">
        <f>250*6*12</f>
        <v>18000</v>
      </c>
      <c r="E5" s="2">
        <f>D5+600*6*12</f>
        <v>61200</v>
      </c>
      <c r="F5" s="2">
        <f>(250+1500)*6*12</f>
        <v>126000</v>
      </c>
      <c r="G5" s="2">
        <f>F5+2000*6*12</f>
        <v>270000</v>
      </c>
    </row>
    <row r="6" spans="1:7" x14ac:dyDescent="0.3">
      <c r="A6" s="2" t="s">
        <v>54</v>
      </c>
      <c r="B6" s="2">
        <f>-((B4+B5)*0.15)</f>
        <v>-262.5</v>
      </c>
      <c r="C6" s="2">
        <f t="shared" ref="C6:G6" si="0">-((C4+C5)*0.15)</f>
        <v>-1590</v>
      </c>
      <c r="D6" s="2">
        <f t="shared" si="0"/>
        <v>-5850</v>
      </c>
      <c r="E6" s="2">
        <f t="shared" si="0"/>
        <v>-13905</v>
      </c>
      <c r="F6" s="2">
        <f t="shared" si="0"/>
        <v>-29400</v>
      </c>
      <c r="G6" s="2">
        <f t="shared" si="0"/>
        <v>-56250</v>
      </c>
    </row>
    <row r="7" spans="1:7" x14ac:dyDescent="0.3">
      <c r="A7" s="6" t="s">
        <v>55</v>
      </c>
      <c r="B7" s="6">
        <f>SUM(B2:B6)</f>
        <v>-78512.5</v>
      </c>
      <c r="C7" s="6">
        <f t="shared" ref="C7:G7" si="1">SUM(C2:C6)</f>
        <v>-42490</v>
      </c>
      <c r="D7" s="6">
        <f t="shared" si="1"/>
        <v>-22950</v>
      </c>
      <c r="E7" s="6">
        <f t="shared" si="1"/>
        <v>19845</v>
      </c>
      <c r="F7" s="6">
        <f t="shared" si="1"/>
        <v>95400</v>
      </c>
      <c r="G7" s="6">
        <f t="shared" si="1"/>
        <v>238050</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A4A1-CF47-41AC-9424-65262CC3E355}">
  <dimension ref="A1:D26"/>
  <sheetViews>
    <sheetView tabSelected="1" workbookViewId="0">
      <selection activeCell="A9" sqref="A9"/>
    </sheetView>
  </sheetViews>
  <sheetFormatPr defaultRowHeight="14.4" x14ac:dyDescent="0.3"/>
  <cols>
    <col min="1" max="1" width="26.109375" customWidth="1"/>
    <col min="2" max="2" width="14.109375" customWidth="1"/>
    <col min="3" max="3" width="17.44140625" customWidth="1"/>
    <col min="4" max="4" width="16.6640625" customWidth="1"/>
  </cols>
  <sheetData>
    <row r="1" spans="1:4" x14ac:dyDescent="0.3">
      <c r="A1" s="1" t="s">
        <v>57</v>
      </c>
    </row>
    <row r="3" spans="1:4" x14ac:dyDescent="0.3">
      <c r="A3" t="s">
        <v>31</v>
      </c>
    </row>
    <row r="4" spans="1:4" x14ac:dyDescent="0.3">
      <c r="A4" t="s">
        <v>32</v>
      </c>
    </row>
    <row r="5" spans="1:4" x14ac:dyDescent="0.3">
      <c r="A5" t="s">
        <v>33</v>
      </c>
    </row>
    <row r="7" spans="1:4" x14ac:dyDescent="0.3">
      <c r="B7" t="s">
        <v>37</v>
      </c>
      <c r="C7" t="s">
        <v>38</v>
      </c>
      <c r="D7" t="s">
        <v>39</v>
      </c>
    </row>
    <row r="8" spans="1:4" x14ac:dyDescent="0.3">
      <c r="A8" s="4" t="s">
        <v>27</v>
      </c>
      <c r="B8">
        <f>'Draft exp &amp; rev plan '!E34</f>
        <v>-121002.5</v>
      </c>
      <c r="C8">
        <f>'Draft exp &amp; rev plan '!F34</f>
        <v>-3105</v>
      </c>
      <c r="D8">
        <f>'Draft exp &amp; rev plan '!G34</f>
        <v>333450</v>
      </c>
    </row>
    <row r="9" spans="1:4" ht="28.8" x14ac:dyDescent="0.3">
      <c r="A9" s="8" t="s">
        <v>69</v>
      </c>
      <c r="B9" s="6">
        <f>B8</f>
        <v>-121002.5</v>
      </c>
      <c r="C9" s="6">
        <f>B8+C8</f>
        <v>-124107.5</v>
      </c>
      <c r="D9" s="6">
        <f>C9+D8</f>
        <v>209342.5</v>
      </c>
    </row>
    <row r="11" spans="1:4" x14ac:dyDescent="0.3">
      <c r="A11" t="s">
        <v>40</v>
      </c>
    </row>
    <row r="12" spans="1:4" x14ac:dyDescent="0.3">
      <c r="A12" t="s">
        <v>56</v>
      </c>
    </row>
    <row r="14" spans="1:4" x14ac:dyDescent="0.3">
      <c r="A14" s="1" t="s">
        <v>63</v>
      </c>
    </row>
    <row r="15" spans="1:4" x14ac:dyDescent="0.3">
      <c r="A15" t="s">
        <v>58</v>
      </c>
    </row>
    <row r="16" spans="1:4" x14ac:dyDescent="0.3">
      <c r="A16" t="s">
        <v>60</v>
      </c>
    </row>
    <row r="17" spans="1:1" x14ac:dyDescent="0.3">
      <c r="A17" t="s">
        <v>59</v>
      </c>
    </row>
    <row r="18" spans="1:1" x14ac:dyDescent="0.3">
      <c r="A18" t="s">
        <v>64</v>
      </c>
    </row>
    <row r="20" spans="1:1" x14ac:dyDescent="0.3">
      <c r="A20" s="1" t="s">
        <v>65</v>
      </c>
    </row>
    <row r="21" spans="1:1" x14ac:dyDescent="0.3">
      <c r="A21" t="s">
        <v>58</v>
      </c>
    </row>
    <row r="22" spans="1:1" x14ac:dyDescent="0.3">
      <c r="A22" t="s">
        <v>66</v>
      </c>
    </row>
    <row r="23" spans="1:1" x14ac:dyDescent="0.3">
      <c r="A23" t="s">
        <v>67</v>
      </c>
    </row>
    <row r="25" spans="1:1" x14ac:dyDescent="0.3">
      <c r="A25" t="s">
        <v>62</v>
      </c>
    </row>
    <row r="26" spans="1:1" x14ac:dyDescent="0.3">
      <c r="A26" s="5" t="s">
        <v>61</v>
      </c>
    </row>
  </sheetData>
  <hyperlinks>
    <hyperlink ref="A26" r:id="rId1" xr:uid="{409348C8-9E2A-4319-B834-2BA30A62E1C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Draft exp &amp; rev plan </vt:lpstr>
      <vt:lpstr>Cash_flow plan </vt:lpstr>
      <vt:lpstr>Capital finance plan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Vörösmarty-Horváth Zsófia</cp:lastModifiedBy>
  <dcterms:created xsi:type="dcterms:W3CDTF">2023-04-05T12:05:14Z</dcterms:created>
  <dcterms:modified xsi:type="dcterms:W3CDTF">2023-04-05T14:10:02Z</dcterms:modified>
</cp:coreProperties>
</file>